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W:\Railroad Financial Conferences Reports to Commissioners\Q4 2018\"/>
    </mc:Choice>
  </mc:AlternateContent>
  <xr:revisionPtr revIDLastSave="0" documentId="13_ncr:1_{00927A98-B5AE-4086-A0FA-C713AA03BBCE}" xr6:coauthVersionLast="40" xr6:coauthVersionMax="40" xr10:uidLastSave="{00000000-0000-0000-0000-000000000000}"/>
  <bookViews>
    <workbookView xWindow="13815" yWindow="150" windowWidth="14985" windowHeight="12045" tabRatio="428" xr2:uid="{00000000-000D-0000-FFFF-FFFF00000000}"/>
  </bookViews>
  <sheets>
    <sheet name="INPUT" sheetId="6" r:id="rId1"/>
    <sheet name="Output"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7" i="1"/>
  <c r="C6" i="1"/>
  <c r="C5" i="1"/>
  <c r="C4" i="1"/>
  <c r="B4" i="1" l="1"/>
  <c r="B14" i="1" s="1"/>
  <c r="A4" i="6"/>
  <c r="B6" i="1" l="1"/>
  <c r="B8" i="1"/>
  <c r="B12" i="1"/>
  <c r="B16" i="1"/>
  <c r="B10" i="1"/>
  <c r="B5" i="1"/>
  <c r="B17" i="1" l="1"/>
  <c r="B13" i="1"/>
  <c r="B9" i="1"/>
  <c r="B7" i="1"/>
  <c r="B15" i="1"/>
  <c r="B11" i="1"/>
</calcChain>
</file>

<file path=xl/sharedStrings.xml><?xml version="1.0" encoding="utf-8"?>
<sst xmlns="http://schemas.openxmlformats.org/spreadsheetml/2006/main" count="84" uniqueCount="48">
  <si>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</si>
  <si>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</si>
  <si>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</si>
  <si>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</si>
  <si>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</si>
  <si>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</si>
  <si>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</si>
  <si>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</si>
  <si>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</si>
  <si>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</si>
  <si>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</si>
  <si>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</si>
  <si>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</si>
  <si>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</si>
  <si>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</si>
  <si>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</si>
  <si>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</si>
  <si>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</si>
  <si>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</si>
  <si>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</si>
  <si>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</si>
  <si>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</si>
  <si>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</si>
  <si>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</si>
  <si>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</si>
  <si>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</si>
  <si>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</si>
  <si>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</si>
  <si>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</si>
  <si>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</si>
  <si>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</si>
  <si>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</si>
  <si>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</si>
  <si>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</si>
  <si>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</si>
  <si>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</si>
  <si>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</si>
  <si>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</si>
  <si>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</si>
  <si>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</si>
  <si>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</si>
  <si>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</si>
  <si>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</si>
  <si>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</si>
  <si>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</si>
  <si>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</si>
  <si>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CSX Transportation Inc.'s quarter ended on December 31, 2018.</t>
  </si>
  <si>
    <t>CSX Transportation Inc.'s quarter ended on December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</si>
</sst>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0" xfId="2" applyFont="1" applyFill="1" applyAlignment="1">
      <alignment horizontal="center" vertical="center"/>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9"/>
  <sheetViews>
    <sheetView tabSelected="1" zoomScale="115" zoomScaleNormal="115" workbookViewId="0">
      <selection activeCell="G6" sqref="G6"/>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41</v>
      </c>
      <c r="B1" s="10"/>
      <c r="C1" s="43" t="s">
        <v>46</v>
      </c>
      <c r="D1" s="43"/>
      <c r="E1" s="43"/>
      <c r="F1" s="43"/>
      <c r="G1" s="10"/>
    </row>
    <row r="2" spans="1:36" ht="30" customHeight="1" x14ac:dyDescent="0.2">
      <c r="A2" s="27" t="s">
        <v>30</v>
      </c>
      <c r="B2" s="10"/>
      <c r="C2" s="43" t="s">
        <v>47</v>
      </c>
      <c r="D2" s="43"/>
      <c r="E2" s="43"/>
      <c r="F2" s="43"/>
      <c r="G2" s="10"/>
    </row>
    <row r="3" spans="1:36" x14ac:dyDescent="0.2">
      <c r="A3" s="24">
        <v>2018</v>
      </c>
    </row>
    <row r="4" spans="1:36" ht="12" thickBot="1" x14ac:dyDescent="0.25">
      <c r="A4" s="36">
        <f>A3-1</f>
        <v>2017</v>
      </c>
    </row>
    <row r="5" spans="1:36" s="8" customFormat="1" ht="13.5" thickBot="1" x14ac:dyDescent="0.25">
      <c r="A5"/>
      <c r="B5" s="44" t="s">
        <v>18</v>
      </c>
      <c r="C5" s="45"/>
      <c r="D5" s="45"/>
      <c r="E5" s="45"/>
      <c r="F5" s="46"/>
      <c r="G5" s="37" t="s">
        <v>19</v>
      </c>
      <c r="H5" s="38"/>
      <c r="I5" s="38"/>
      <c r="J5" s="38"/>
      <c r="K5" s="39"/>
      <c r="L5" s="40" t="s">
        <v>33</v>
      </c>
      <c r="M5" s="41"/>
      <c r="N5" s="41"/>
      <c r="O5" s="41"/>
      <c r="P5" s="42"/>
      <c r="Q5" s="44" t="s">
        <v>20</v>
      </c>
      <c r="R5" s="45"/>
      <c r="S5" s="45"/>
      <c r="T5" s="45"/>
      <c r="U5" s="46"/>
      <c r="V5" s="37" t="s">
        <v>21</v>
      </c>
      <c r="W5" s="38"/>
      <c r="X5" s="38"/>
      <c r="Y5" s="38"/>
      <c r="Z5" s="39"/>
      <c r="AA5" s="40" t="s">
        <v>34</v>
      </c>
      <c r="AB5" s="41"/>
      <c r="AC5" s="41"/>
      <c r="AD5" s="41"/>
      <c r="AE5" s="42"/>
      <c r="AF5" s="40" t="s">
        <v>22</v>
      </c>
      <c r="AG5" s="41"/>
      <c r="AH5" s="41"/>
      <c r="AI5" s="41"/>
      <c r="AJ5" s="42"/>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10" customFormat="1" x14ac:dyDescent="0.2">
      <c r="A16" s="9" t="s">
        <v>36</v>
      </c>
      <c r="B16" s="18">
        <v>545081</v>
      </c>
      <c r="C16" s="16">
        <v>344789</v>
      </c>
      <c r="D16" s="16">
        <v>101706</v>
      </c>
      <c r="E16" s="16">
        <v>169828</v>
      </c>
      <c r="F16" s="20">
        <v>51</v>
      </c>
      <c r="G16" s="18">
        <v>170288</v>
      </c>
      <c r="H16" s="16">
        <v>108432</v>
      </c>
      <c r="I16" s="16">
        <v>851</v>
      </c>
      <c r="J16" s="16">
        <v>64628</v>
      </c>
      <c r="K16" s="20">
        <v>57</v>
      </c>
      <c r="L16" s="18">
        <v>53581</v>
      </c>
      <c r="M16" s="16">
        <v>33126</v>
      </c>
      <c r="N16" s="16">
        <v>8168</v>
      </c>
      <c r="O16" s="16">
        <v>9198</v>
      </c>
      <c r="P16" s="20">
        <v>452</v>
      </c>
      <c r="Q16" s="18">
        <v>26534</v>
      </c>
      <c r="R16" s="16">
        <v>16681</v>
      </c>
      <c r="S16" s="16">
        <v>5772</v>
      </c>
      <c r="T16" s="16">
        <v>8959</v>
      </c>
      <c r="U16" s="20">
        <v>2886</v>
      </c>
      <c r="V16" s="18">
        <v>183954</v>
      </c>
      <c r="W16" s="16">
        <v>118981</v>
      </c>
      <c r="X16" s="16">
        <v>5643</v>
      </c>
      <c r="Y16" s="16">
        <v>66848</v>
      </c>
      <c r="Z16" s="20">
        <v>107</v>
      </c>
      <c r="AA16" s="18">
        <v>20147</v>
      </c>
      <c r="AB16" s="16">
        <v>10321</v>
      </c>
      <c r="AC16" s="16">
        <v>-1522</v>
      </c>
      <c r="AD16" s="16">
        <v>5128</v>
      </c>
      <c r="AE16" s="20">
        <v>1455</v>
      </c>
      <c r="AF16" s="18">
        <v>392079</v>
      </c>
      <c r="AG16" s="16">
        <v>252357</v>
      </c>
      <c r="AH16" s="16">
        <v>45942</v>
      </c>
      <c r="AI16" s="16">
        <v>173020</v>
      </c>
      <c r="AJ16" s="20">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ht="12.75" customHeigh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10" customFormat="1" x14ac:dyDescent="0.2">
      <c r="A20" s="9" t="s">
        <v>37</v>
      </c>
      <c r="B20" s="18">
        <v>605904</v>
      </c>
      <c r="C20" s="16">
        <v>350055</v>
      </c>
      <c r="D20" s="16">
        <v>18102</v>
      </c>
      <c r="E20" s="16">
        <v>199685</v>
      </c>
      <c r="F20" s="20">
        <v>75</v>
      </c>
      <c r="G20" s="18">
        <v>201781</v>
      </c>
      <c r="H20" s="16">
        <v>107867</v>
      </c>
      <c r="I20" s="16">
        <v>7430</v>
      </c>
      <c r="J20" s="16">
        <v>83216</v>
      </c>
      <c r="K20" s="20">
        <v>318</v>
      </c>
      <c r="L20" s="18">
        <v>63715</v>
      </c>
      <c r="M20" s="16">
        <v>36447</v>
      </c>
      <c r="N20" s="16">
        <v>-159</v>
      </c>
      <c r="O20" s="16">
        <v>14280</v>
      </c>
      <c r="P20" s="20">
        <v>803</v>
      </c>
      <c r="Q20" s="18">
        <v>30012</v>
      </c>
      <c r="R20" s="16">
        <v>17342</v>
      </c>
      <c r="S20" s="16">
        <v>-204</v>
      </c>
      <c r="T20" s="16">
        <v>12501</v>
      </c>
      <c r="U20" s="20">
        <v>4163</v>
      </c>
      <c r="V20" s="18">
        <v>202715</v>
      </c>
      <c r="W20" s="16">
        <v>117035</v>
      </c>
      <c r="X20" s="16">
        <v>7903</v>
      </c>
      <c r="Y20" s="16">
        <v>83991</v>
      </c>
      <c r="Z20" s="20">
        <v>127</v>
      </c>
      <c r="AA20" s="18">
        <v>27518.171999999999</v>
      </c>
      <c r="AB20" s="16">
        <v>15219</v>
      </c>
      <c r="AC20" s="16">
        <v>-708</v>
      </c>
      <c r="AD20" s="16">
        <v>4360.4319999999998</v>
      </c>
      <c r="AE20" s="20">
        <v>972.37633599999992</v>
      </c>
      <c r="AF20" s="18">
        <v>449705.26535999333</v>
      </c>
      <c r="AG20" s="16">
        <v>255052.48309465582</v>
      </c>
      <c r="AH20" s="16">
        <v>15927.026729993324</v>
      </c>
      <c r="AI20" s="16">
        <v>226993.13878000001</v>
      </c>
      <c r="AJ20" s="20">
        <v>17193.208320000002</v>
      </c>
    </row>
    <row r="21" spans="1:36" s="32" customFormat="1" x14ac:dyDescent="0.2">
      <c r="A21" s="28" t="s">
        <v>30</v>
      </c>
      <c r="B21" s="29">
        <v>752422</v>
      </c>
      <c r="C21" s="30">
        <v>372675</v>
      </c>
      <c r="D21" s="30">
        <v>146518</v>
      </c>
      <c r="E21" s="30">
        <v>258667</v>
      </c>
      <c r="F21" s="31">
        <v>196</v>
      </c>
      <c r="G21" s="29">
        <v>238406</v>
      </c>
      <c r="H21" s="30">
        <v>114797</v>
      </c>
      <c r="I21" s="30">
        <v>36625</v>
      </c>
      <c r="J21" s="30">
        <v>111095</v>
      </c>
      <c r="K21" s="31">
        <v>366</v>
      </c>
      <c r="L21" s="29">
        <v>79807</v>
      </c>
      <c r="M21" s="30">
        <v>38671</v>
      </c>
      <c r="N21" s="30">
        <v>16092</v>
      </c>
      <c r="O21" s="30">
        <v>20343</v>
      </c>
      <c r="P21" s="31">
        <v>1275</v>
      </c>
      <c r="Q21" s="29">
        <v>33966</v>
      </c>
      <c r="R21" s="30">
        <v>17283</v>
      </c>
      <c r="S21" s="30">
        <v>3954</v>
      </c>
      <c r="T21" s="30">
        <v>15878</v>
      </c>
      <c r="U21" s="31">
        <v>4631</v>
      </c>
      <c r="V21" s="29">
        <v>243195</v>
      </c>
      <c r="W21" s="30">
        <v>122768</v>
      </c>
      <c r="X21" s="30">
        <v>40480</v>
      </c>
      <c r="Y21" s="30">
        <v>110214</v>
      </c>
      <c r="Z21" s="31">
        <v>162</v>
      </c>
      <c r="AA21" s="29">
        <v>34696</v>
      </c>
      <c r="AB21" s="30">
        <v>17451</v>
      </c>
      <c r="AC21" s="30">
        <v>7451</v>
      </c>
      <c r="AD21" s="30">
        <v>13559</v>
      </c>
      <c r="AE21" s="31">
        <v>5089</v>
      </c>
      <c r="AF21" s="29">
        <v>546967</v>
      </c>
      <c r="AG21" s="30">
        <v>270656</v>
      </c>
      <c r="AH21" s="30">
        <v>97262</v>
      </c>
      <c r="AI21" s="30">
        <v>293595</v>
      </c>
      <c r="AJ21" s="31">
        <v>24723</v>
      </c>
    </row>
    <row r="22" spans="1:36" s="10" customFormat="1" x14ac:dyDescent="0.2">
      <c r="A22" s="9" t="s">
        <v>38</v>
      </c>
      <c r="B22" s="18">
        <v>778679</v>
      </c>
      <c r="C22" s="16">
        <v>369310</v>
      </c>
      <c r="D22" s="16">
        <v>26257</v>
      </c>
      <c r="E22" s="16">
        <v>302806</v>
      </c>
      <c r="F22" s="20">
        <v>262</v>
      </c>
      <c r="G22" s="18">
        <v>248781</v>
      </c>
      <c r="H22" s="16">
        <v>115480</v>
      </c>
      <c r="I22" s="16">
        <v>10375</v>
      </c>
      <c r="J22" s="16">
        <v>133546</v>
      </c>
      <c r="K22" s="20">
        <v>307</v>
      </c>
      <c r="L22" s="18">
        <v>76492</v>
      </c>
      <c r="M22" s="16">
        <v>35186</v>
      </c>
      <c r="N22" s="16">
        <v>-3315</v>
      </c>
      <c r="O22" s="16">
        <v>27876</v>
      </c>
      <c r="P22" s="20">
        <v>2294</v>
      </c>
      <c r="Q22" s="18">
        <v>34924</v>
      </c>
      <c r="R22" s="16">
        <v>16797</v>
      </c>
      <c r="S22" s="16">
        <v>958</v>
      </c>
      <c r="T22" s="16">
        <v>18064</v>
      </c>
      <c r="U22" s="20">
        <v>3932</v>
      </c>
      <c r="V22" s="18">
        <v>270208</v>
      </c>
      <c r="W22" s="16">
        <v>129752</v>
      </c>
      <c r="X22" s="16">
        <v>27013</v>
      </c>
      <c r="Y22" s="16">
        <v>130702</v>
      </c>
      <c r="Z22" s="20">
        <v>351</v>
      </c>
      <c r="AA22" s="18">
        <v>38449</v>
      </c>
      <c r="AB22" s="16">
        <v>17380</v>
      </c>
      <c r="AC22" s="16">
        <v>3753</v>
      </c>
      <c r="AD22" s="16">
        <v>18118.599999999999</v>
      </c>
      <c r="AE22" s="20">
        <v>7803.4</v>
      </c>
      <c r="AF22" s="18">
        <v>588919</v>
      </c>
      <c r="AG22" s="16">
        <v>276985</v>
      </c>
      <c r="AH22" s="16">
        <v>41952</v>
      </c>
      <c r="AI22" s="16">
        <v>353068</v>
      </c>
      <c r="AJ22" s="20">
        <v>33621</v>
      </c>
    </row>
    <row r="23" spans="1:36" s="10" customFormat="1" x14ac:dyDescent="0.2">
      <c r="A23" s="9" t="s">
        <v>39</v>
      </c>
      <c r="B23" s="18">
        <v>844288</v>
      </c>
      <c r="C23" s="16">
        <v>370172</v>
      </c>
      <c r="D23" s="16">
        <v>65609</v>
      </c>
      <c r="E23" s="16">
        <v>333385</v>
      </c>
      <c r="F23" s="20">
        <v>256</v>
      </c>
      <c r="G23" s="18">
        <v>264935</v>
      </c>
      <c r="H23" s="16">
        <v>113924</v>
      </c>
      <c r="I23" s="16">
        <v>16154</v>
      </c>
      <c r="J23" s="16">
        <v>160422</v>
      </c>
      <c r="K23" s="20">
        <v>432</v>
      </c>
      <c r="L23" s="18">
        <v>88581</v>
      </c>
      <c r="M23" s="16">
        <v>38151</v>
      </c>
      <c r="N23" s="16">
        <v>12089</v>
      </c>
      <c r="O23" s="16">
        <v>32570</v>
      </c>
      <c r="P23" s="20">
        <v>2636</v>
      </c>
      <c r="Q23" s="18">
        <v>35420</v>
      </c>
      <c r="R23" s="16">
        <v>16004</v>
      </c>
      <c r="S23" s="16">
        <v>496</v>
      </c>
      <c r="T23" s="16">
        <v>21179</v>
      </c>
      <c r="U23" s="20">
        <v>4415</v>
      </c>
      <c r="V23" s="18">
        <v>277410</v>
      </c>
      <c r="W23" s="16">
        <v>123368</v>
      </c>
      <c r="X23" s="16">
        <v>7202</v>
      </c>
      <c r="Y23" s="16">
        <v>157205</v>
      </c>
      <c r="Z23" s="20">
        <v>474</v>
      </c>
      <c r="AA23" s="18">
        <v>38741</v>
      </c>
      <c r="AB23" s="16">
        <v>17387</v>
      </c>
      <c r="AC23" s="16">
        <v>292</v>
      </c>
      <c r="AD23" s="16">
        <v>21725.2137</v>
      </c>
      <c r="AE23" s="20">
        <v>8911.2000000000007</v>
      </c>
      <c r="AF23" s="18">
        <v>643543.66261999996</v>
      </c>
      <c r="AG23" s="16">
        <v>280641.61385276983</v>
      </c>
      <c r="AH23" s="16">
        <v>54625.432599999898</v>
      </c>
      <c r="AI23" s="16">
        <v>411666</v>
      </c>
      <c r="AJ23" s="20">
        <v>37556</v>
      </c>
    </row>
    <row r="24" spans="1:36" s="10" customFormat="1" x14ac:dyDescent="0.2">
      <c r="A24" s="9" t="s">
        <v>40</v>
      </c>
      <c r="B24" s="18">
        <v>872626</v>
      </c>
      <c r="C24" s="16">
        <v>373005</v>
      </c>
      <c r="D24" s="16">
        <v>28338</v>
      </c>
      <c r="E24" s="16">
        <v>379263</v>
      </c>
      <c r="F24" s="20">
        <v>261</v>
      </c>
      <c r="G24" s="18">
        <v>262964</v>
      </c>
      <c r="H24" s="16">
        <v>111096</v>
      </c>
      <c r="I24" s="16">
        <v>-1971</v>
      </c>
      <c r="J24" s="16">
        <v>182003</v>
      </c>
      <c r="K24" s="20">
        <v>486</v>
      </c>
      <c r="L24" s="18">
        <v>94430</v>
      </c>
      <c r="M24" s="16">
        <v>39766</v>
      </c>
      <c r="N24" s="16">
        <v>5849</v>
      </c>
      <c r="O24" s="16">
        <v>41382</v>
      </c>
      <c r="P24" s="20">
        <v>3789</v>
      </c>
      <c r="Q24" s="18">
        <v>38002</v>
      </c>
      <c r="R24" s="16">
        <v>16858</v>
      </c>
      <c r="S24" s="16">
        <v>2582</v>
      </c>
      <c r="T24" s="16">
        <v>26461</v>
      </c>
      <c r="U24" s="20">
        <v>4619</v>
      </c>
      <c r="V24" s="18">
        <v>279046</v>
      </c>
      <c r="W24" s="16">
        <v>121586</v>
      </c>
      <c r="X24" s="16">
        <v>1636</v>
      </c>
      <c r="Y24" s="16">
        <v>182059</v>
      </c>
      <c r="Z24" s="20">
        <v>453</v>
      </c>
      <c r="AA24" s="18">
        <v>37702</v>
      </c>
      <c r="AB24" s="16">
        <v>17416</v>
      </c>
      <c r="AC24" s="16">
        <v>-1039</v>
      </c>
      <c r="AD24" s="16">
        <v>24674</v>
      </c>
      <c r="AE24" s="20">
        <v>9853</v>
      </c>
      <c r="AF24" s="18">
        <v>658792.21455999999</v>
      </c>
      <c r="AG24" s="16">
        <v>277256.81983129442</v>
      </c>
      <c r="AH24" s="16">
        <v>15248.351940000077</v>
      </c>
      <c r="AI24" s="16">
        <v>482214</v>
      </c>
      <c r="AJ24" s="20">
        <v>43981</v>
      </c>
    </row>
    <row r="25" spans="1:36" s="26" customFormat="1" x14ac:dyDescent="0.2">
      <c r="A25" s="11" t="s">
        <v>41</v>
      </c>
      <c r="B25" s="19">
        <v>904088</v>
      </c>
      <c r="C25" s="17">
        <v>383520</v>
      </c>
      <c r="D25" s="17">
        <v>31462</v>
      </c>
      <c r="E25" s="17">
        <v>393978</v>
      </c>
      <c r="F25" s="21">
        <v>297</v>
      </c>
      <c r="G25" s="19">
        <v>246958</v>
      </c>
      <c r="H25" s="17">
        <v>111512</v>
      </c>
      <c r="I25" s="17">
        <v>-16006</v>
      </c>
      <c r="J25" s="17">
        <v>188572</v>
      </c>
      <c r="K25" s="21">
        <v>573</v>
      </c>
      <c r="L25" s="19">
        <v>98969</v>
      </c>
      <c r="M25" s="17">
        <v>42456</v>
      </c>
      <c r="N25" s="17">
        <v>4539</v>
      </c>
      <c r="O25" s="17">
        <v>43808</v>
      </c>
      <c r="P25" s="21">
        <v>3584</v>
      </c>
      <c r="Q25" s="19">
        <v>39037</v>
      </c>
      <c r="R25" s="17">
        <v>17366</v>
      </c>
      <c r="S25" s="17">
        <v>1035</v>
      </c>
      <c r="T25" s="17">
        <v>25931</v>
      </c>
      <c r="U25" s="21">
        <v>4839</v>
      </c>
      <c r="V25" s="19">
        <v>279784</v>
      </c>
      <c r="W25" s="17">
        <v>125285</v>
      </c>
      <c r="X25" s="17">
        <v>738</v>
      </c>
      <c r="Y25" s="17">
        <v>186728</v>
      </c>
      <c r="Z25" s="21">
        <v>372</v>
      </c>
      <c r="AA25" s="19">
        <v>41687.42</v>
      </c>
      <c r="AB25" s="17">
        <v>17543.115000000002</v>
      </c>
      <c r="AC25" s="17">
        <v>3985</v>
      </c>
      <c r="AD25" s="17">
        <v>26034</v>
      </c>
      <c r="AE25" s="21">
        <v>10267</v>
      </c>
      <c r="AF25" s="19">
        <v>639529.82273999997</v>
      </c>
      <c r="AG25" s="17">
        <v>275441.2726417738</v>
      </c>
      <c r="AH25" s="17">
        <v>-19262.391820000128</v>
      </c>
      <c r="AI25" s="17">
        <v>488207</v>
      </c>
      <c r="AJ25" s="21">
        <v>41343</v>
      </c>
    </row>
    <row r="26" spans="1:36" x14ac:dyDescent="0.2">
      <c r="A26" s="9" t="s">
        <v>42</v>
      </c>
      <c r="B26" s="18"/>
      <c r="C26" s="16"/>
      <c r="D26" s="16"/>
      <c r="E26" s="16"/>
      <c r="F26" s="20"/>
      <c r="G26" s="18"/>
      <c r="H26" s="16"/>
      <c r="I26" s="16"/>
      <c r="J26" s="16"/>
      <c r="K26" s="20"/>
      <c r="L26" s="18"/>
      <c r="M26" s="16"/>
      <c r="N26" s="16"/>
      <c r="O26" s="16"/>
      <c r="P26" s="20"/>
      <c r="Q26" s="18"/>
      <c r="R26" s="16"/>
      <c r="S26" s="16"/>
      <c r="T26" s="16"/>
      <c r="U26" s="20"/>
      <c r="V26" s="18"/>
      <c r="W26" s="16"/>
      <c r="X26" s="16"/>
      <c r="Y26" s="16"/>
      <c r="Z26" s="20"/>
      <c r="AA26" s="18"/>
      <c r="AB26" s="16"/>
      <c r="AC26" s="16"/>
      <c r="AD26" s="16"/>
      <c r="AE26" s="20"/>
      <c r="AF26" s="18"/>
      <c r="AG26" s="16"/>
      <c r="AH26" s="16"/>
      <c r="AI26" s="16"/>
      <c r="AJ26" s="20"/>
    </row>
    <row r="27" spans="1:36" x14ac:dyDescent="0.2">
      <c r="A27" s="9" t="s">
        <v>43</v>
      </c>
      <c r="B27" s="18"/>
      <c r="C27" s="16"/>
      <c r="D27" s="16"/>
      <c r="E27" s="16"/>
      <c r="F27" s="20"/>
      <c r="G27" s="18"/>
      <c r="H27" s="16"/>
      <c r="I27" s="16"/>
      <c r="J27" s="16"/>
      <c r="K27" s="20"/>
      <c r="L27" s="18"/>
      <c r="M27" s="16"/>
      <c r="N27" s="16"/>
      <c r="O27" s="16"/>
      <c r="P27" s="20"/>
      <c r="Q27" s="18"/>
      <c r="R27" s="16"/>
      <c r="S27" s="16"/>
      <c r="T27" s="16"/>
      <c r="U27" s="20"/>
      <c r="V27" s="18"/>
      <c r="W27" s="16"/>
      <c r="X27" s="16"/>
      <c r="Y27" s="16"/>
      <c r="Z27" s="20"/>
      <c r="AA27" s="18"/>
      <c r="AB27" s="16"/>
      <c r="AC27" s="16"/>
      <c r="AD27" s="16"/>
      <c r="AE27" s="20"/>
      <c r="AF27" s="18"/>
      <c r="AG27" s="16"/>
      <c r="AH27" s="16"/>
      <c r="AI27" s="16"/>
      <c r="AJ27" s="20"/>
    </row>
    <row r="28" spans="1:36" x14ac:dyDescent="0.2">
      <c r="A28" s="9" t="s">
        <v>44</v>
      </c>
      <c r="B28" s="18"/>
      <c r="C28" s="16"/>
      <c r="D28" s="16"/>
      <c r="E28" s="16"/>
      <c r="F28" s="20"/>
      <c r="G28" s="18"/>
      <c r="H28" s="16"/>
      <c r="I28" s="16"/>
      <c r="J28" s="16"/>
      <c r="K28" s="20"/>
      <c r="L28" s="18"/>
      <c r="M28" s="16"/>
      <c r="N28" s="16"/>
      <c r="O28" s="16"/>
      <c r="P28" s="20"/>
      <c r="Q28" s="18"/>
      <c r="R28" s="16"/>
      <c r="S28" s="16"/>
      <c r="T28" s="16"/>
      <c r="U28" s="20"/>
      <c r="V28" s="18"/>
      <c r="W28" s="16"/>
      <c r="X28" s="16"/>
      <c r="Y28" s="16"/>
      <c r="Z28" s="20"/>
      <c r="AA28" s="18"/>
      <c r="AB28" s="16"/>
      <c r="AC28" s="16"/>
      <c r="AD28" s="16"/>
      <c r="AE28" s="20"/>
      <c r="AF28" s="18"/>
      <c r="AG28" s="16"/>
      <c r="AH28" s="16"/>
      <c r="AI28" s="16"/>
      <c r="AJ28" s="20"/>
    </row>
    <row r="29" spans="1:36" x14ac:dyDescent="0.2">
      <c r="A29" s="9" t="s">
        <v>45</v>
      </c>
      <c r="B29" s="18"/>
      <c r="C29" s="16"/>
      <c r="D29" s="16"/>
      <c r="E29" s="16"/>
      <c r="F29" s="20"/>
      <c r="G29" s="18"/>
      <c r="H29" s="16"/>
      <c r="I29" s="16"/>
      <c r="J29" s="16"/>
      <c r="K29" s="20"/>
      <c r="L29" s="18"/>
      <c r="M29" s="16"/>
      <c r="N29" s="16"/>
      <c r="O29" s="16"/>
      <c r="P29" s="20"/>
      <c r="Q29" s="18"/>
      <c r="R29" s="16"/>
      <c r="S29" s="16"/>
      <c r="T29" s="16"/>
      <c r="U29" s="20"/>
      <c r="V29" s="18"/>
      <c r="W29" s="16"/>
      <c r="X29" s="16"/>
      <c r="Y29" s="16"/>
      <c r="Z29" s="20"/>
      <c r="AA29" s="18"/>
      <c r="AB29" s="16"/>
      <c r="AC29" s="16"/>
      <c r="AD29" s="16"/>
      <c r="AE29" s="20"/>
      <c r="AF29" s="18"/>
      <c r="AG29" s="16"/>
      <c r="AH29" s="16"/>
      <c r="AI29" s="16"/>
      <c r="AJ29" s="20"/>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workbookViewId="0">
      <selection activeCell="D13" sqref="D13"/>
    </sheetView>
  </sheetViews>
  <sheetFormatPr defaultRowHeight="12.75" x14ac:dyDescent="0.2"/>
  <cols>
    <col min="1" max="1" width="33.83203125" style="1" customWidth="1"/>
    <col min="2" max="2" width="20" style="1" customWidth="1"/>
    <col min="3" max="3" width="17.5" style="35" customWidth="1"/>
    <col min="4" max="4" width="17.83203125" style="35" customWidth="1"/>
    <col min="5" max="5" width="16.6640625" style="1" customWidth="1"/>
    <col min="6" max="6" width="20.5" style="35"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f>
        <v>QUARTER ENDED DECEMBER 31 2018</v>
      </c>
      <c r="C3" s="33" t="s">
        <v>2</v>
      </c>
      <c r="D3" s="33" t="s">
        <v>3</v>
      </c>
      <c r="E3" s="4" t="s">
        <v>4</v>
      </c>
      <c r="F3" s="33" t="s">
        <v>5</v>
      </c>
      <c r="G3" s="4" t="s">
        <v>6</v>
      </c>
    </row>
    <row r="4" spans="1:7" ht="27.95" customHeight="1" x14ac:dyDescent="0.2">
      <c r="A4" s="47" t="s">
        <v>7</v>
      </c>
      <c r="B4" s="3">
        <f>INPUT!A3</f>
        <v>2018</v>
      </c>
      <c r="C4" s="34">
        <f>VLOOKUP(INPUT!$A$1,INPUT!$A$5:$AJ$51,2,FALSE)</f>
        <v>904088</v>
      </c>
      <c r="D4" s="34">
        <f>VLOOKUP(INPUT!$A$1,INPUT!$A$5:$AJ$51,3,FALSE)</f>
        <v>383520</v>
      </c>
      <c r="E4" s="25">
        <f>VLOOKUP(INPUT!$A$1,INPUT!$A$5:$AJ$51,4,FALSE)</f>
        <v>31462</v>
      </c>
      <c r="F4" s="34">
        <f>VLOOKUP(INPUT!$A$1,INPUT!$A$5:$AJ$51,5,FALSE)</f>
        <v>393978</v>
      </c>
      <c r="G4" s="23">
        <f>VLOOKUP(INPUT!$A$1,INPUT!$A$5:$AJ$51,6,FALSE)</f>
        <v>297</v>
      </c>
    </row>
    <row r="5" spans="1:7" ht="27.95" customHeight="1" x14ac:dyDescent="0.2">
      <c r="A5" s="48"/>
      <c r="B5" s="3">
        <f>INPUT!A4</f>
        <v>2017</v>
      </c>
      <c r="C5" s="34">
        <f>VLOOKUP(INPUT!$A$2,INPUT!$A$5:$AJ$51,2,FALSE)</f>
        <v>752422</v>
      </c>
      <c r="D5" s="34">
        <f>VLOOKUP(INPUT!$A$2,INPUT!$A$5:$AJ$51,3,FALSE)</f>
        <v>372675</v>
      </c>
      <c r="E5" s="25">
        <f>VLOOKUP(INPUT!$A$2,INPUT!$A$5:$AJ$51,4,FALSE)</f>
        <v>146518</v>
      </c>
      <c r="F5" s="34">
        <f>VLOOKUP(INPUT!$A$2,INPUT!$A$5:$AJ$51,5,FALSE)</f>
        <v>258667</v>
      </c>
      <c r="G5" s="23">
        <f>VLOOKUP(INPUT!$A$2,INPUT!$A$5:$AJ$51,6,FALSE)</f>
        <v>196</v>
      </c>
    </row>
    <row r="6" spans="1:7" ht="27.95" customHeight="1" x14ac:dyDescent="0.2">
      <c r="A6" s="50" t="s">
        <v>19</v>
      </c>
      <c r="B6" s="3">
        <f>$B$4</f>
        <v>2018</v>
      </c>
      <c r="C6" s="34">
        <f>VLOOKUP(INPUT!$A$1,INPUT!$A$5:$AJ$51,7,FALSE)</f>
        <v>246958</v>
      </c>
      <c r="D6" s="34">
        <f>VLOOKUP(INPUT!$A$1,INPUT!$A$5:$AJ$51,8,FALSE)</f>
        <v>111512</v>
      </c>
      <c r="E6" s="25">
        <f>VLOOKUP(INPUT!$A$1,INPUT!$A$5:$AJ$51,9,FALSE)</f>
        <v>-16006</v>
      </c>
      <c r="F6" s="34">
        <f>VLOOKUP(INPUT!$A$1,INPUT!$A$5:$AJ$51,10,FALSE)</f>
        <v>188572</v>
      </c>
      <c r="G6" s="23">
        <f>VLOOKUP(INPUT!$A$1,INPUT!$A$5:$AJ$51,11,FALSE)</f>
        <v>573</v>
      </c>
    </row>
    <row r="7" spans="1:7" ht="27.95" customHeight="1" x14ac:dyDescent="0.2">
      <c r="A7" s="51"/>
      <c r="B7" s="3">
        <f>$B$5</f>
        <v>2017</v>
      </c>
      <c r="C7" s="34">
        <f>VLOOKUP(INPUT!$A$2,INPUT!$A$5:$AJ$51,7,FALSE)</f>
        <v>238406</v>
      </c>
      <c r="D7" s="34">
        <f>VLOOKUP(INPUT!$A$2,INPUT!$A$5:$AJ$51,8,FALSE)</f>
        <v>114797</v>
      </c>
      <c r="E7" s="25">
        <f>VLOOKUP(INPUT!$A$2,INPUT!$A$5:$AJ$51,9,FALSE)</f>
        <v>36625</v>
      </c>
      <c r="F7" s="34">
        <f>VLOOKUP(INPUT!$A$2,INPUT!$A$5:$AJ$51,10,FALSE)</f>
        <v>111095</v>
      </c>
      <c r="G7" s="23">
        <f>VLOOKUP(INPUT!$A$2,INPUT!$A$5:$AJ$51,11,FALSE)</f>
        <v>366</v>
      </c>
    </row>
    <row r="8" spans="1:7" ht="27.95" customHeight="1" x14ac:dyDescent="0.2">
      <c r="A8" s="47" t="s">
        <v>8</v>
      </c>
      <c r="B8" s="3">
        <f>$B$4</f>
        <v>2018</v>
      </c>
      <c r="C8" s="34">
        <f>VLOOKUP(INPUT!$A$1,INPUT!$A$5:$AJ$51,12,FALSE)</f>
        <v>98969</v>
      </c>
      <c r="D8" s="34">
        <f>VLOOKUP(INPUT!$A$1,INPUT!$A$5:$AJ$51,13,FALSE)</f>
        <v>42456</v>
      </c>
      <c r="E8" s="25">
        <f>VLOOKUP(INPUT!$A$1,INPUT!$A$5:$AJ$51,14,FALSE)</f>
        <v>4539</v>
      </c>
      <c r="F8" s="34">
        <f>VLOOKUP(INPUT!$A$1,INPUT!$A$5:$AJ$51,15,FALSE)</f>
        <v>43808</v>
      </c>
      <c r="G8" s="23">
        <f>VLOOKUP(INPUT!$A$1,INPUT!$A$5:$AJ$51,16,FALSE)</f>
        <v>3584</v>
      </c>
    </row>
    <row r="9" spans="1:7" ht="27.95" customHeight="1" x14ac:dyDescent="0.2">
      <c r="A9" s="48"/>
      <c r="B9" s="3">
        <f>$B$5</f>
        <v>2017</v>
      </c>
      <c r="C9" s="34">
        <f>VLOOKUP(INPUT!$A$2,INPUT!$A$5:$AJ$51,12,FALSE)</f>
        <v>79807</v>
      </c>
      <c r="D9" s="34">
        <f>VLOOKUP(INPUT!$A$2,INPUT!$A$5:$AJ$51,13,FALSE)</f>
        <v>38671</v>
      </c>
      <c r="E9" s="25">
        <f>VLOOKUP(INPUT!$A$2,INPUT!$A$5:$AJ$51,14,FALSE)</f>
        <v>16092</v>
      </c>
      <c r="F9" s="34">
        <f>VLOOKUP(INPUT!$A$2,INPUT!$A$5:$AJ$51,15,FALSE)</f>
        <v>20343</v>
      </c>
      <c r="G9" s="23">
        <f>VLOOKUP(INPUT!$A$2,INPUT!$A$5:$AJ$51,16,FALSE)</f>
        <v>1275</v>
      </c>
    </row>
    <row r="10" spans="1:7" ht="27.95" customHeight="1" x14ac:dyDescent="0.2">
      <c r="A10" s="47" t="s">
        <v>9</v>
      </c>
      <c r="B10" s="3">
        <f>$B$4</f>
        <v>2018</v>
      </c>
      <c r="C10" s="34">
        <f>VLOOKUP(INPUT!$A$1,INPUT!$A$5:$AJ$51,17,FALSE)</f>
        <v>39037</v>
      </c>
      <c r="D10" s="34">
        <f>VLOOKUP(INPUT!$A$1,INPUT!$A$5:$AJ$51,18,FALSE)</f>
        <v>17366</v>
      </c>
      <c r="E10" s="25">
        <f>VLOOKUP(INPUT!$A$1,INPUT!$A$5:$AJ$51,19,FALSE)</f>
        <v>1035</v>
      </c>
      <c r="F10" s="34">
        <f>VLOOKUP(INPUT!$A$1,INPUT!$A$5:$AJ$51,20,FALSE)</f>
        <v>25931</v>
      </c>
      <c r="G10" s="23">
        <f>VLOOKUP(INPUT!$A$1,INPUT!$A$5:$AJ$51,21,FALSE)</f>
        <v>4839</v>
      </c>
    </row>
    <row r="11" spans="1:7" ht="27.95" customHeight="1" x14ac:dyDescent="0.2">
      <c r="A11" s="48"/>
      <c r="B11" s="3">
        <f>$B$5</f>
        <v>2017</v>
      </c>
      <c r="C11" s="34">
        <f>VLOOKUP(INPUT!$A$2,INPUT!$A$5:$AJ$51,17,FALSE)</f>
        <v>33966</v>
      </c>
      <c r="D11" s="34">
        <f>VLOOKUP(INPUT!$A$2,INPUT!$A$5:$AJ$51,18,FALSE)</f>
        <v>17283</v>
      </c>
      <c r="E11" s="25">
        <f>VLOOKUP(INPUT!$A$2,INPUT!$A$5:$AJ$51,19,FALSE)</f>
        <v>3954</v>
      </c>
      <c r="F11" s="34">
        <f>VLOOKUP(INPUT!$A$2,INPUT!$A$5:$AJ$51,20,FALSE)</f>
        <v>15878</v>
      </c>
      <c r="G11" s="23">
        <f>VLOOKUP(INPUT!$A$2,INPUT!$A$5:$AJ$51,21,FALSE)</f>
        <v>4631</v>
      </c>
    </row>
    <row r="12" spans="1:7" ht="27.95" customHeight="1" x14ac:dyDescent="0.2">
      <c r="A12" s="47" t="s">
        <v>10</v>
      </c>
      <c r="B12" s="3">
        <f>$B$4</f>
        <v>2018</v>
      </c>
      <c r="C12" s="34">
        <f>VLOOKUP(INPUT!$A$1,INPUT!$A$5:$AJ$51,22,FALSE)</f>
        <v>279784</v>
      </c>
      <c r="D12" s="34">
        <f>VLOOKUP(INPUT!$A$1,INPUT!$A$5:$AJ$51,23,FALSE)</f>
        <v>125285</v>
      </c>
      <c r="E12" s="25">
        <f>VLOOKUP(INPUT!$A$1,INPUT!$A$5:$AJ$51,24,FALSE)</f>
        <v>738</v>
      </c>
      <c r="F12" s="34">
        <f>VLOOKUP(INPUT!$A$1,INPUT!$A$5:$AJ$51,25,FALSE)</f>
        <v>186728</v>
      </c>
      <c r="G12" s="23">
        <f>VLOOKUP(INPUT!$A$1,INPUT!$A$5:$AJ$51,26,FALSE)</f>
        <v>372</v>
      </c>
    </row>
    <row r="13" spans="1:7" ht="27.95" customHeight="1" x14ac:dyDescent="0.2">
      <c r="A13" s="48"/>
      <c r="B13" s="3">
        <f>$B$5</f>
        <v>2017</v>
      </c>
      <c r="C13" s="34">
        <f>VLOOKUP(INPUT!$A$2,INPUT!$A$5:$AJ$51,22,FALSE)</f>
        <v>243195</v>
      </c>
      <c r="D13" s="34">
        <f>VLOOKUP(INPUT!$A$2,INPUT!$A$5:$AJ$51,23,FALSE)</f>
        <v>122768</v>
      </c>
      <c r="E13" s="25">
        <f>VLOOKUP(INPUT!$A$2,INPUT!$A$5:$AJ$51,24,FALSE)</f>
        <v>40480</v>
      </c>
      <c r="F13" s="34">
        <f>VLOOKUP(INPUT!$A$2,INPUT!$A$5:$AJ$51,25,FALSE)</f>
        <v>110214</v>
      </c>
      <c r="G13" s="23">
        <f>VLOOKUP(INPUT!$A$2,INPUT!$A$5:$AJ$51,26,FALSE)</f>
        <v>162</v>
      </c>
    </row>
    <row r="14" spans="1:7" ht="27.95" customHeight="1" x14ac:dyDescent="0.2">
      <c r="A14" s="47" t="s">
        <v>11</v>
      </c>
      <c r="B14" s="3">
        <f>$B$4</f>
        <v>2018</v>
      </c>
      <c r="C14" s="34">
        <f>VLOOKUP(INPUT!$A$1,INPUT!$A$5:$AJ$51,27,FALSE)</f>
        <v>41687.42</v>
      </c>
      <c r="D14" s="34">
        <f>VLOOKUP(INPUT!$A$1,INPUT!$A$5:$AJ$51,28,FALSE)</f>
        <v>17543.115000000002</v>
      </c>
      <c r="E14" s="25">
        <f>VLOOKUP(INPUT!$A$1,INPUT!$A$5:$AJ$51,29,FALSE)</f>
        <v>3985</v>
      </c>
      <c r="F14" s="34">
        <f>VLOOKUP(INPUT!$A$1,INPUT!$A$5:$AJ$51,30,FALSE)</f>
        <v>26034</v>
      </c>
      <c r="G14" s="23">
        <f>VLOOKUP(INPUT!$A$1,INPUT!$A$5:$AJ$51,31,FALSE)</f>
        <v>10267</v>
      </c>
    </row>
    <row r="15" spans="1:7" ht="27.95" customHeight="1" x14ac:dyDescent="0.2">
      <c r="A15" s="48"/>
      <c r="B15" s="3">
        <f>$B$5</f>
        <v>2017</v>
      </c>
      <c r="C15" s="34">
        <f>VLOOKUP(INPUT!$A$2,INPUT!$A$5:$AJ$51,27,FALSE)</f>
        <v>34696</v>
      </c>
      <c r="D15" s="34">
        <f>VLOOKUP(INPUT!$A$2,INPUT!$A$5:$AJ$51,28,FALSE)</f>
        <v>17451</v>
      </c>
      <c r="E15" s="25">
        <f>VLOOKUP(INPUT!$A$2,INPUT!$A$5:$AJ$51,29,FALSE)</f>
        <v>7451</v>
      </c>
      <c r="F15" s="34">
        <f>VLOOKUP(INPUT!$A$2,INPUT!$A$5:$AJ$51,30,FALSE)</f>
        <v>13559</v>
      </c>
      <c r="G15" s="23">
        <f>VLOOKUP(INPUT!$A$2,INPUT!$A$5:$AJ$51,31,FALSE)</f>
        <v>5089</v>
      </c>
    </row>
    <row r="16" spans="1:7" ht="27.95" customHeight="1" x14ac:dyDescent="0.2">
      <c r="A16" s="47" t="s">
        <v>12</v>
      </c>
      <c r="B16" s="3">
        <f>$B$4</f>
        <v>2018</v>
      </c>
      <c r="C16" s="34">
        <f>VLOOKUP(INPUT!$A$1,INPUT!$A$5:$AJ$51,32,FALSE)</f>
        <v>639529.82273999997</v>
      </c>
      <c r="D16" s="34">
        <f>VLOOKUP(INPUT!$A$1,INPUT!$A$5:$AJ$51,33,FALSE)</f>
        <v>275441.2726417738</v>
      </c>
      <c r="E16" s="25">
        <f>VLOOKUP(INPUT!$A$1,INPUT!$A$5:$AJ$51,34,FALSE)</f>
        <v>-19262.391820000128</v>
      </c>
      <c r="F16" s="34">
        <f>VLOOKUP(INPUT!$A$1,INPUT!$A$5:$AJ$51,35,FALSE)</f>
        <v>488207</v>
      </c>
      <c r="G16" s="23">
        <f>VLOOKUP(INPUT!$A$1,INPUT!$A$5:$AJ$51,36,FALSE)</f>
        <v>41343</v>
      </c>
    </row>
    <row r="17" spans="1:7" ht="27.95" customHeight="1" x14ac:dyDescent="0.2">
      <c r="A17" s="48"/>
      <c r="B17" s="3">
        <f>$B$5</f>
        <v>2017</v>
      </c>
      <c r="C17" s="23">
        <f>VLOOKUP(INPUT!$A$2,INPUT!$A$5:$AJ$51,32,FALSE)</f>
        <v>546967</v>
      </c>
      <c r="D17" s="23">
        <f>VLOOKUP(INPUT!$A$2,INPUT!$A$5:$AJ$51,33,FALSE)</f>
        <v>270656</v>
      </c>
      <c r="E17" s="23">
        <f>VLOOKUP(INPUT!$A$2,INPUT!$A$5:$AJ$51,34,FALSE)</f>
        <v>97262</v>
      </c>
      <c r="F17" s="23">
        <f>VLOOKUP(INPUT!$A$2,INPUT!$A$5:$AJ$51,35,FALSE)</f>
        <v>293595</v>
      </c>
      <c r="G17" s="23">
        <f>VLOOKUP(INPUT!$A$2,INPUT!$A$5:$AJ$51,36,FALSE)</f>
        <v>24723</v>
      </c>
    </row>
    <row r="18" spans="1:7" x14ac:dyDescent="0.2">
      <c r="C18" s="1"/>
      <c r="D18" s="1"/>
      <c r="F18" s="1"/>
    </row>
    <row r="19" spans="1:7" ht="15" x14ac:dyDescent="0.2">
      <c r="A19" s="5"/>
      <c r="C19" s="1"/>
      <c r="D19" s="1"/>
      <c r="F19" s="1"/>
    </row>
    <row r="20" spans="1:7" ht="15" x14ac:dyDescent="0.2">
      <c r="A20" s="5"/>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2018-08-03T15:25:02Z</cp:lastPrinted>
  <dcterms:created xsi:type="dcterms:W3CDTF">2013-02-13T08:02:04Z</dcterms:created>
  <dcterms:modified xsi:type="dcterms:W3CDTF">2019-02-04T13:49:32Z</dcterms:modified>
</cp:coreProperties>
</file>